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400" windowHeight="12435" tabRatio="208" activeTab="1"/>
  </bookViews>
  <sheets>
    <sheet name="Foglio3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<sst xmlns="http://schemas.openxmlformats.org/spreadsheetml/2006/main" count="42" uniqueCount="42">
  <si>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YTD</t>
  </si>
  <si>
    <t>July</t>
  </si>
  <si>
    <t>August</t>
  </si>
  <si>
    <t>September</t>
  </si>
  <si>
    <t>October</t>
  </si>
  <si>
    <t>November</t>
  </si>
  <si>
    <t xml:space="preserve">KEY$PERFORMANCE$INDICATORS </t>
  </si>
  <si>
    <t>Gross Revenues Actual</t>
  </si>
  <si>
    <t>Cost of Acquisition Actual</t>
  </si>
  <si>
    <t xml:space="preserve">Registered users Actual </t>
  </si>
  <si>
    <t xml:space="preserve">Cumulated sellers Actual </t>
  </si>
  <si>
    <t xml:space="preserve">Traffic (unique users) </t>
  </si>
  <si>
    <t xml:space="preserve">Registered users value </t>
  </si>
  <si>
    <t xml:space="preserve">Product rollout and sales plans exist </t>
  </si>
  <si>
    <t>User value</t>
  </si>
  <si>
    <t>User lifetime value</t>
  </si>
  <si>
    <t>Average cart</t>
  </si>
  <si>
    <t>Funding risk</t>
  </si>
  <si>
    <t>Technology risk</t>
  </si>
  <si>
    <t>Competition risk</t>
  </si>
  <si>
    <t>Scorecard additional multiplier</t>
  </si>
  <si>
    <t>Average retention time (years)</t>
  </si>
  <si>
    <t>December</t>
  </si>
  <si>
    <t>Average cost acquisition</t>
  </si>
  <si>
    <t>St.av. cost acquisition</t>
  </si>
  <si>
    <t>Normal distribution</t>
  </si>
  <si>
    <t>Indici Rotazione</t>
  </si>
  <si>
    <t>Probability distribution of cost acquisition p</t>
  </si>
  <si>
    <t>Growth rate g</t>
  </si>
  <si>
    <t>Average user</t>
  </si>
  <si>
    <t>St.av. User</t>
  </si>
  <si>
    <t>Revenues/User value (Rotation)</t>
  </si>
  <si>
    <t>Lowering of management risk - Quality of team</t>
  </si>
  <si>
    <t>Lowering of reputational risk</t>
  </si>
  <si>
    <t>Lowering of manufacturing risk - Quality of idea - sound idea</t>
  </si>
  <si>
    <t>Lowering of execution risk</t>
  </si>
  <si>
    <t>Strategic relationship</t>
  </si>
  <si>
    <t>January</t>
  </si>
  <si>
    <t>February</t>
  </si>
  <si>
    <t>TOTAL VALUE</t>
  </si>
  <si>
    <t>Formula's enterprise value</t>
  </si>
  <si>
    <t>Traction multiple on gross revenues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</si>
</sst>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0000_-;\-* #,##0.00000_-;_-* &quot;-&quot;??_-;_-@_-"/>
    <numFmt numFmtId="167" formatCode="0.0"/>
    <numFmt numFmtId="168" formatCode="_-* #,##0.0000_-;\-* #,##0.0000_-;_-* &quot;-&quot;??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_-* #,##0.00000_-;\-* #,##0.00000_-;_-* &quot;-&quot;????_-;_-@_-"/>
    <numFmt numFmtId="174" formatCode="[$-410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165" fontId="0" fillId="0" borderId="0" xfId="44" applyNumberFormat="1" applyFon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43" fontId="0" fillId="0" borderId="0" xfId="44" applyFont="1" applyAlignment="1">
      <alignment/>
    </xf>
    <xf numFmtId="43" fontId="0" fillId="0" borderId="0" xfId="0" applyNumberFormat="1" applyAlignment="1">
      <alignment/>
    </xf>
    <xf numFmtId="43" fontId="0" fillId="0" borderId="0" xfId="44" applyFont="1" applyAlignment="1">
      <alignment/>
    </xf>
    <xf numFmtId="43" fontId="0" fillId="0" borderId="0" xfId="44" applyNumberFormat="1" applyFont="1" applyAlignment="1">
      <alignment/>
    </xf>
    <xf numFmtId="43" fontId="0" fillId="0" borderId="0" xfId="44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16</xdr:row>
      <xdr:rowOff>38100</xdr:rowOff>
    </xdr:from>
    <xdr:to>
      <xdr:col>17</xdr:col>
      <xdr:colOff>1628775</xdr:colOff>
      <xdr:row>18</xdr:row>
      <xdr:rowOff>28575</xdr:rowOff>
    </xdr:to>
    <xdr:pic>
      <xdr:nvPicPr>
        <xdr:cNvPr id="1" name="Picture 1" descr=" Z(x)=1/(sigmasqrt(2pi))e^(-(x-mu)^2/(2sigma^2))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73800" y="3086100"/>
          <a:ext cx="1628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819150</xdr:colOff>
      <xdr:row>26</xdr:row>
      <xdr:rowOff>133350</xdr:rowOff>
    </xdr:from>
    <xdr:ext cx="2247900" cy="438150"/>
    <xdr:sp>
      <xdr:nvSpPr>
        <xdr:cNvPr id="2" name="CasellaDiTesto 3"/>
        <xdr:cNvSpPr txBox="1">
          <a:spLocks noChangeArrowheads="1"/>
        </xdr:cNvSpPr>
      </xdr:nvSpPr>
      <xdr:spPr>
        <a:xfrm>
          <a:off x="12896850" y="5086350"/>
          <a:ext cx="2247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Value= User value x ((ROI/r) - (g / r)) / (1-(g / r))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H43" sqref="H1:H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U43"/>
  <sheetViews>
    <sheetView tabSelected="1" zoomScalePageLayoutView="0" workbookViewId="0" topLeftCell="B1">
      <selection activeCell="B31" sqref="B31"/>
    </sheetView>
  </sheetViews>
  <sheetFormatPr defaultColWidth="9.140625" defaultRowHeight="15"/>
  <cols>
    <col min="2" max="2" width="55.7109375" style="0" bestFit="1" customWidth="1"/>
    <col min="3" max="4" width="12.00390625" style="0" bestFit="1" customWidth="1"/>
    <col min="6" max="6" width="10.8515625" style="0" bestFit="1" customWidth="1"/>
    <col min="7" max="7" width="9.00390625" style="0" bestFit="1" customWidth="1"/>
    <col min="8" max="8" width="12.00390625" style="0" bestFit="1" customWidth="1"/>
    <col min="9" max="11" width="12.00390625" style="0" customWidth="1"/>
    <col min="12" max="12" width="15.28125" style="0" bestFit="1" customWidth="1"/>
    <col min="13" max="13" width="20.57421875" style="0" bestFit="1" customWidth="1"/>
    <col min="14" max="14" width="21.8515625" style="0" bestFit="1" customWidth="1"/>
    <col min="15" max="15" width="24.28125" style="0" bestFit="1" customWidth="1"/>
    <col min="16" max="16" width="21.8515625" style="0" bestFit="1" customWidth="1"/>
    <col min="17" max="17" width="14.8515625" style="0" bestFit="1" customWidth="1"/>
    <col min="18" max="18" width="25.8515625" style="0" customWidth="1"/>
    <col min="19" max="19" width="21.8515625" style="0" bestFit="1" customWidth="1"/>
    <col min="20" max="20" width="12.8515625" style="0" bestFit="1" customWidth="1"/>
    <col min="21" max="21" width="28.8515625" style="0" bestFit="1" customWidth="1"/>
    <col min="22" max="22" width="14.7109375" style="0" bestFit="1" customWidth="1"/>
  </cols>
  <sheetData>
    <row r="2" spans="2:12" ht="15">
      <c r="B2" t="s">
        <v>32</v>
      </c>
      <c r="L2">
        <v>500000</v>
      </c>
    </row>
    <row r="3" spans="2:12" ht="15">
      <c r="B3" t="s">
        <v>33</v>
      </c>
      <c r="L3">
        <v>100000</v>
      </c>
    </row>
    <row r="4" spans="2:12" ht="15">
      <c r="B4" t="s">
        <v>34</v>
      </c>
      <c r="L4">
        <v>200000</v>
      </c>
    </row>
    <row r="5" spans="2:12" ht="15">
      <c r="B5" t="s">
        <v>35</v>
      </c>
      <c r="L5">
        <v>200000</v>
      </c>
    </row>
    <row r="6" spans="2:12" ht="15">
      <c r="B6" t="s">
        <v>17</v>
      </c>
      <c r="L6">
        <v>-400000</v>
      </c>
    </row>
    <row r="7" spans="2:12" ht="15">
      <c r="B7" t="s">
        <v>19</v>
      </c>
      <c r="L7">
        <v>-300000</v>
      </c>
    </row>
    <row r="8" spans="2:12" ht="15">
      <c r="B8" t="s">
        <v>18</v>
      </c>
      <c r="L8">
        <v>-200000</v>
      </c>
    </row>
    <row r="9" spans="2:12" ht="15">
      <c r="B9" t="s">
        <v>36</v>
      </c>
      <c r="L9">
        <v>200000</v>
      </c>
    </row>
    <row r="10" spans="2:12" ht="15">
      <c r="B10" t="s">
        <v>20</v>
      </c>
      <c r="L10">
        <v>400000</v>
      </c>
    </row>
    <row r="11" spans="2:12" ht="15">
      <c r="B11" t="s">
        <v>13</v>
      </c>
      <c r="L11">
        <v>200000</v>
      </c>
    </row>
    <row r="12" ht="15">
      <c r="L12">
        <f>SUM(L2:L11)</f>
        <v>900000</v>
      </c>
    </row>
    <row r="13" spans="2:11" ht="15">
      <c r="B13" t="s">
        <v>6</v>
      </c>
      <c r="C13" t="s">
        <v>0</v>
      </c>
      <c r="D13" t="s">
        <v>1</v>
      </c>
      <c r="E13" t="s">
        <v>2</v>
      </c>
      <c r="F13" t="s">
        <v>3</v>
      </c>
      <c r="G13" t="s">
        <v>4</v>
      </c>
      <c r="H13" t="s">
        <v>5</v>
      </c>
      <c r="I13" t="s">
        <v>22</v>
      </c>
      <c r="J13" t="s">
        <v>37</v>
      </c>
      <c r="K13" t="s">
        <v>38</v>
      </c>
    </row>
    <row r="14" spans="2:17" ht="15">
      <c r="B14" t="s">
        <v>7</v>
      </c>
      <c r="C14">
        <v>43694</v>
      </c>
      <c r="D14">
        <v>3486</v>
      </c>
      <c r="E14">
        <v>2453</v>
      </c>
      <c r="F14">
        <v>1223</v>
      </c>
      <c r="G14">
        <v>5918</v>
      </c>
      <c r="H14">
        <v>7525</v>
      </c>
      <c r="I14">
        <v>9343</v>
      </c>
      <c r="J14">
        <v>4970</v>
      </c>
      <c r="K14">
        <v>4687</v>
      </c>
      <c r="L14">
        <f>SUM(C14:K14)</f>
        <v>83299</v>
      </c>
      <c r="O14" s="2"/>
      <c r="P14" s="2"/>
      <c r="Q14" s="2"/>
    </row>
    <row r="15" spans="2:16" ht="15">
      <c r="B15" t="s">
        <v>28</v>
      </c>
      <c r="D15" s="1"/>
      <c r="E15">
        <f aca="true" t="shared" si="0" ref="E15:K15">(E14/D14)-1</f>
        <v>-0.2963281698221457</v>
      </c>
      <c r="F15">
        <f t="shared" si="0"/>
        <v>-0.5014268242967794</v>
      </c>
      <c r="G15">
        <f t="shared" si="0"/>
        <v>3.8389206868356505</v>
      </c>
      <c r="H15">
        <f t="shared" si="0"/>
        <v>0.2715444406894221</v>
      </c>
      <c r="I15">
        <f t="shared" si="0"/>
        <v>0.241594684385382</v>
      </c>
      <c r="J15">
        <f t="shared" si="0"/>
        <v>-0.4680509472332227</v>
      </c>
      <c r="K15">
        <f t="shared" si="0"/>
        <v>-0.05694164989939643</v>
      </c>
      <c r="L15">
        <f>SUM(E15:K15)</f>
        <v>3.0293122206589107</v>
      </c>
      <c r="P15" s="2"/>
    </row>
    <row r="16" spans="2:18" ht="15">
      <c r="B16" t="s">
        <v>8</v>
      </c>
      <c r="C16">
        <v>98</v>
      </c>
      <c r="D16">
        <v>120</v>
      </c>
      <c r="E16">
        <v>44</v>
      </c>
      <c r="F16">
        <v>120</v>
      </c>
      <c r="G16">
        <v>52</v>
      </c>
      <c r="H16">
        <v>75</v>
      </c>
      <c r="I16">
        <v>120</v>
      </c>
      <c r="J16">
        <f>0.35*I16/0.4</f>
        <v>105</v>
      </c>
      <c r="K16">
        <f>0.3*J16/0.4</f>
        <v>78.75</v>
      </c>
      <c r="L16">
        <f>SUM(D16:K16)/8</f>
        <v>89.34375</v>
      </c>
      <c r="R16" t="s">
        <v>25</v>
      </c>
    </row>
    <row r="17" spans="2:12" ht="15">
      <c r="B17" t="s">
        <v>27</v>
      </c>
      <c r="D17" s="1">
        <f aca="true" t="shared" si="1" ref="D17:K17">(1/($S21*(6.28^1/2)))*EXP(((D16-$R21)^2)/(2*$S21^2))</f>
        <v>0.012987471226004993</v>
      </c>
      <c r="E17" s="1">
        <f t="shared" si="1"/>
        <v>0.019023187548394657</v>
      </c>
      <c r="F17" s="1">
        <f t="shared" si="1"/>
        <v>0.012987471226004993</v>
      </c>
      <c r="G17" s="1">
        <f t="shared" si="1"/>
        <v>0.01481040937286076</v>
      </c>
      <c r="H17" s="1">
        <f t="shared" si="1"/>
        <v>0.009497937667247061</v>
      </c>
      <c r="I17" s="1">
        <f t="shared" si="1"/>
        <v>0.012987471226004993</v>
      </c>
      <c r="J17" s="1">
        <f t="shared" si="1"/>
        <v>0.009833968005735614</v>
      </c>
      <c r="K17" s="1">
        <f t="shared" si="1"/>
        <v>0.009183361865178622</v>
      </c>
      <c r="L17" s="1">
        <f>SUM(D17:K17)/8</f>
        <v>0.012663909767178962</v>
      </c>
    </row>
    <row r="18" spans="2:19" ht="15">
      <c r="B18" t="s">
        <v>9</v>
      </c>
      <c r="C18">
        <v>1531</v>
      </c>
      <c r="D18">
        <v>1322</v>
      </c>
      <c r="E18">
        <v>1370</v>
      </c>
      <c r="F18">
        <v>1438</v>
      </c>
      <c r="G18">
        <v>1480</v>
      </c>
      <c r="H18">
        <v>1531</v>
      </c>
      <c r="I18">
        <v>1562</v>
      </c>
      <c r="J18">
        <v>1635</v>
      </c>
      <c r="K18">
        <v>1717</v>
      </c>
      <c r="L18">
        <f>SUM(D18:K18)</f>
        <v>12055</v>
      </c>
      <c r="Q18" s="1"/>
      <c r="S18" s="1"/>
    </row>
    <row r="19" spans="2:19" ht="15">
      <c r="B19" t="s">
        <v>12</v>
      </c>
      <c r="C19">
        <f aca="true" t="shared" si="2" ref="C19:K19">C18*C16</f>
        <v>150038</v>
      </c>
      <c r="D19">
        <f t="shared" si="2"/>
        <v>158640</v>
      </c>
      <c r="E19">
        <f t="shared" si="2"/>
        <v>60280</v>
      </c>
      <c r="F19">
        <f t="shared" si="2"/>
        <v>172560</v>
      </c>
      <c r="G19">
        <f t="shared" si="2"/>
        <v>76960</v>
      </c>
      <c r="H19">
        <f t="shared" si="2"/>
        <v>114825</v>
      </c>
      <c r="I19">
        <f t="shared" si="2"/>
        <v>187440</v>
      </c>
      <c r="J19">
        <f t="shared" si="2"/>
        <v>171675</v>
      </c>
      <c r="K19">
        <f t="shared" si="2"/>
        <v>135213.75</v>
      </c>
      <c r="L19">
        <f>SUM(D19:K19)</f>
        <v>1077593.75</v>
      </c>
      <c r="N19" s="2"/>
      <c r="R19" s="2" t="s">
        <v>23</v>
      </c>
      <c r="S19" s="2" t="s">
        <v>24</v>
      </c>
    </row>
    <row r="20" spans="2:19" ht="15">
      <c r="B20" t="s">
        <v>10</v>
      </c>
      <c r="C20">
        <v>201</v>
      </c>
      <c r="D20">
        <v>162</v>
      </c>
      <c r="E20">
        <v>170</v>
      </c>
      <c r="F20">
        <v>182</v>
      </c>
      <c r="G20">
        <v>194</v>
      </c>
      <c r="H20">
        <v>201</v>
      </c>
      <c r="I20">
        <v>212</v>
      </c>
      <c r="J20">
        <v>224</v>
      </c>
      <c r="K20">
        <v>258</v>
      </c>
      <c r="M20" s="2"/>
      <c r="N20" s="2"/>
      <c r="R20" s="2"/>
      <c r="S20" s="2"/>
    </row>
    <row r="21" spans="2:19" ht="15">
      <c r="B21" t="s">
        <v>16</v>
      </c>
      <c r="C21">
        <v>428</v>
      </c>
      <c r="D21">
        <v>349</v>
      </c>
      <c r="E21">
        <v>307</v>
      </c>
      <c r="F21">
        <v>204</v>
      </c>
      <c r="G21">
        <v>370</v>
      </c>
      <c r="H21">
        <v>502</v>
      </c>
      <c r="I21">
        <v>584</v>
      </c>
      <c r="J21">
        <v>331</v>
      </c>
      <c r="K21">
        <v>521</v>
      </c>
      <c r="L21">
        <f>SUM(D21:K21)/6</f>
        <v>528</v>
      </c>
      <c r="P21" s="2"/>
      <c r="Q21" s="2"/>
      <c r="R21" s="1">
        <f>AVERAGE(D16:I16)</f>
        <v>88.5</v>
      </c>
      <c r="S21">
        <f>STDEV(D16:I16)</f>
        <v>35.976381140965245</v>
      </c>
    </row>
    <row r="22" spans="2:19" ht="15">
      <c r="B22" t="s">
        <v>11</v>
      </c>
      <c r="C22">
        <v>3862</v>
      </c>
      <c r="D22">
        <v>3696</v>
      </c>
      <c r="E22">
        <v>3047</v>
      </c>
      <c r="F22">
        <v>3871</v>
      </c>
      <c r="G22">
        <v>4031</v>
      </c>
      <c r="H22">
        <v>5775</v>
      </c>
      <c r="I22">
        <v>4998</v>
      </c>
      <c r="J22">
        <v>9866</v>
      </c>
      <c r="K22">
        <v>8348</v>
      </c>
      <c r="L22" s="6">
        <f>SUM(D22:K22)/8</f>
        <v>5454</v>
      </c>
      <c r="P22" s="2"/>
      <c r="Q22" s="2"/>
      <c r="R22" t="s">
        <v>29</v>
      </c>
      <c r="S22" t="s">
        <v>30</v>
      </c>
    </row>
    <row r="23" spans="2:19" ht="15">
      <c r="B23" t="s">
        <v>15</v>
      </c>
      <c r="C23">
        <f aca="true" t="shared" si="3" ref="C23:K23">(C14/C21)*C22*C26</f>
        <v>1182800.6635514018</v>
      </c>
      <c r="D23">
        <f t="shared" si="3"/>
        <v>110752.91690544412</v>
      </c>
      <c r="E23">
        <f t="shared" si="3"/>
        <v>73038.67426710099</v>
      </c>
      <c r="F23">
        <f t="shared" si="3"/>
        <v>69621.07352941178</v>
      </c>
      <c r="G23">
        <f t="shared" si="3"/>
        <v>193422.63243243244</v>
      </c>
      <c r="H23">
        <f t="shared" si="3"/>
        <v>259702.44023904385</v>
      </c>
      <c r="I23">
        <f t="shared" si="3"/>
        <v>239878.32534246575</v>
      </c>
      <c r="J23">
        <f t="shared" si="3"/>
        <v>444417.0996978852</v>
      </c>
      <c r="K23">
        <f t="shared" si="3"/>
        <v>225299.86180422266</v>
      </c>
      <c r="L23">
        <f>SUM(D23:K23)</f>
        <v>1616133.0242180068</v>
      </c>
      <c r="O23" s="2"/>
      <c r="P23" s="3"/>
      <c r="Q23" s="3"/>
      <c r="R23">
        <f>AVERAGE(D25:I25)</f>
        <v>0.06475175392339369</v>
      </c>
      <c r="S23">
        <f>STDEV(D25:I25)</f>
        <v>0.10418546164092901</v>
      </c>
    </row>
    <row r="24" spans="2:12" ht="15">
      <c r="B24" t="s">
        <v>14</v>
      </c>
      <c r="C24">
        <f aca="true" t="shared" si="4" ref="C24:K24">C23-(C18*C16)</f>
        <v>1032762.6635514018</v>
      </c>
      <c r="D24">
        <f t="shared" si="4"/>
        <v>-47887.083094555885</v>
      </c>
      <c r="E24">
        <f t="shared" si="4"/>
        <v>12758.674267100985</v>
      </c>
      <c r="F24">
        <f t="shared" si="4"/>
        <v>-102938.92647058822</v>
      </c>
      <c r="G24">
        <f t="shared" si="4"/>
        <v>116462.63243243244</v>
      </c>
      <c r="H24">
        <f t="shared" si="4"/>
        <v>144877.44023904385</v>
      </c>
      <c r="I24">
        <f t="shared" si="4"/>
        <v>52438.325342465745</v>
      </c>
      <c r="J24">
        <f t="shared" si="4"/>
        <v>272742.0996978852</v>
      </c>
      <c r="K24">
        <f t="shared" si="4"/>
        <v>90086.11180422266</v>
      </c>
      <c r="L24">
        <f>SUM(D24:K24)</f>
        <v>538539.2742180068</v>
      </c>
    </row>
    <row r="25" spans="2:12" ht="15">
      <c r="B25" t="s">
        <v>31</v>
      </c>
      <c r="C25">
        <f aca="true" t="shared" si="5" ref="C25:K25">C14/C24</f>
        <v>0.04230788112512483</v>
      </c>
      <c r="D25">
        <f t="shared" si="5"/>
        <v>-0.07279624848138457</v>
      </c>
      <c r="E25">
        <f t="shared" si="5"/>
        <v>0.19226135479649395</v>
      </c>
      <c r="F25">
        <f t="shared" si="5"/>
        <v>-0.011880831109594253</v>
      </c>
      <c r="G25">
        <f t="shared" si="5"/>
        <v>0.05081458212301201</v>
      </c>
      <c r="H25">
        <f t="shared" si="5"/>
        <v>0.05194045385937213</v>
      </c>
      <c r="I25">
        <f t="shared" si="5"/>
        <v>0.1781712123524629</v>
      </c>
      <c r="J25">
        <f t="shared" si="5"/>
        <v>0.018222342665489628</v>
      </c>
      <c r="K25">
        <f t="shared" si="5"/>
        <v>0.05202799750294366</v>
      </c>
      <c r="L25">
        <f>SUM(D25:K25)/8</f>
        <v>0.05734510796359943</v>
      </c>
    </row>
    <row r="26" spans="2:16" ht="15">
      <c r="B26" t="s">
        <v>21</v>
      </c>
      <c r="C26">
        <v>3</v>
      </c>
      <c r="D26">
        <v>3</v>
      </c>
      <c r="E26">
        <v>3</v>
      </c>
      <c r="F26">
        <v>3</v>
      </c>
      <c r="G26">
        <v>3</v>
      </c>
      <c r="H26">
        <v>3</v>
      </c>
      <c r="I26">
        <v>3</v>
      </c>
      <c r="J26">
        <v>3</v>
      </c>
      <c r="K26">
        <v>3</v>
      </c>
      <c r="M26" s="2"/>
      <c r="P26" s="2"/>
    </row>
    <row r="27" spans="2:15" ht="15">
      <c r="B27" t="s">
        <v>26</v>
      </c>
      <c r="C27">
        <f aca="true" t="shared" si="6" ref="C27:L27">C14/C24</f>
        <v>0.04230788112512483</v>
      </c>
      <c r="D27">
        <f t="shared" si="6"/>
        <v>-0.07279624848138457</v>
      </c>
      <c r="E27">
        <f t="shared" si="6"/>
        <v>0.19226135479649395</v>
      </c>
      <c r="F27">
        <f t="shared" si="6"/>
        <v>-0.011880831109594253</v>
      </c>
      <c r="G27">
        <f t="shared" si="6"/>
        <v>0.05081458212301201</v>
      </c>
      <c r="H27">
        <f t="shared" si="6"/>
        <v>0.05194045385937213</v>
      </c>
      <c r="I27">
        <f t="shared" si="6"/>
        <v>0.1781712123524629</v>
      </c>
      <c r="J27">
        <f t="shared" si="6"/>
        <v>0.018222342665489628</v>
      </c>
      <c r="K27">
        <f t="shared" si="6"/>
        <v>0.05202799750294366</v>
      </c>
      <c r="L27">
        <f t="shared" si="6"/>
        <v>0.1546758128661191</v>
      </c>
      <c r="M27" s="2"/>
      <c r="O27" s="2"/>
    </row>
    <row r="28" spans="2:12" ht="15">
      <c r="B28" t="s">
        <v>40</v>
      </c>
      <c r="L28" s="2">
        <f>L24*((L27/L17)-(L15/L17))/(1-(L15/L17))</f>
        <v>513186.96949322644</v>
      </c>
    </row>
    <row r="29" spans="2:12" ht="15">
      <c r="B29" t="s">
        <v>41</v>
      </c>
      <c r="C29" s="8">
        <f>1/20.08957*EXP(C26)*C14/C14</f>
        <v>0.9997992452395781</v>
      </c>
      <c r="D29" s="8">
        <f aca="true" t="shared" si="7" ref="D29:K29">1/20.089*EXP(D26)*D14/D14</f>
        <v>0.999827613280286</v>
      </c>
      <c r="E29" s="8">
        <f t="shared" si="7"/>
        <v>0.999827613280286</v>
      </c>
      <c r="F29" s="8">
        <f t="shared" si="7"/>
        <v>0.9998276132802862</v>
      </c>
      <c r="G29" s="8">
        <f t="shared" si="7"/>
        <v>0.9998276132802861</v>
      </c>
      <c r="H29" s="8">
        <f t="shared" si="7"/>
        <v>0.9998276132802861</v>
      </c>
      <c r="I29" s="8">
        <f t="shared" si="7"/>
        <v>0.9998276132802861</v>
      </c>
      <c r="J29" s="8">
        <f t="shared" si="7"/>
        <v>0.9998276132802861</v>
      </c>
      <c r="K29" s="8">
        <f t="shared" si="7"/>
        <v>0.999827613280286</v>
      </c>
      <c r="L29" s="5">
        <f>SUM(D29:K29)/8</f>
        <v>0.999827613280286</v>
      </c>
    </row>
    <row r="30" ht="15">
      <c r="L30" s="5"/>
    </row>
    <row r="31" spans="2:12" ht="15">
      <c r="B31" t="s">
        <v>39</v>
      </c>
      <c r="L31" s="2">
        <f>L12+L28</f>
        <v>1413186.9694932264</v>
      </c>
    </row>
    <row r="37" ht="15">
      <c r="M37" s="7"/>
    </row>
    <row r="38" spans="13:21" ht="15">
      <c r="M38" s="5"/>
      <c r="U38" s="5"/>
    </row>
    <row r="39" ht="15">
      <c r="L39" s="4"/>
    </row>
    <row r="40" spans="12:21" ht="15">
      <c r="L40" s="4"/>
      <c r="U40" s="5"/>
    </row>
    <row r="41" spans="12:21" ht="15">
      <c r="L41" s="4"/>
      <c r="U41" s="5"/>
    </row>
    <row r="42" ht="15">
      <c r="L42" s="4"/>
    </row>
    <row r="43" ht="15">
      <c r="L43" s="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Ciraolo</cp:lastModifiedBy>
  <cp:lastPrinted>2016-01-13T10:43:49Z</cp:lastPrinted>
  <dcterms:created xsi:type="dcterms:W3CDTF">2015-07-16T09:39:43Z</dcterms:created>
  <dcterms:modified xsi:type="dcterms:W3CDTF">2019-03-30T09:08:43Z</dcterms:modified>
  <cp:category/>
  <cp:version/>
  <cp:contentType/>
  <cp:contentStatus/>
</cp:coreProperties>
</file>